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415" windowHeight="13260"/>
  </bookViews>
  <sheets>
    <sheet name="원가계산서" sheetId="19" r:id="rId1"/>
    <sheet name="Sheet1" sheetId="12" state="hidden" r:id="rId2"/>
  </sheets>
  <calcPr calcId="145621"/>
</workbook>
</file>

<file path=xl/calcChain.xml><?xml version="1.0" encoding="utf-8"?>
<calcChain xmlns="http://schemas.openxmlformats.org/spreadsheetml/2006/main">
  <c r="E18" i="19" l="1"/>
  <c r="E17" i="19"/>
  <c r="E16" i="19"/>
  <c r="E15" i="19"/>
  <c r="E14" i="19"/>
  <c r="E13" i="19"/>
  <c r="E11" i="19"/>
  <c r="E8" i="19"/>
  <c r="E21" i="19" s="1"/>
  <c r="D25" i="19"/>
  <c r="D17" i="19"/>
  <c r="D15" i="19"/>
  <c r="D13" i="19"/>
  <c r="E20" i="19" l="1"/>
  <c r="E22" i="19" s="1"/>
  <c r="F12" i="19"/>
  <c r="E23" i="19" l="1"/>
  <c r="D16" i="19"/>
  <c r="D18" i="19"/>
  <c r="E24" i="19" l="1"/>
  <c r="E25" i="19" s="1"/>
  <c r="F18" i="19"/>
  <c r="E27" i="19" l="1"/>
  <c r="D11" i="19"/>
  <c r="D8" i="19"/>
  <c r="D21" i="19" s="1"/>
  <c r="F9" i="19"/>
  <c r="F7" i="19"/>
  <c r="F6" i="19"/>
  <c r="E28" i="19" l="1"/>
  <c r="E29" i="19" s="1"/>
  <c r="D20" i="19"/>
  <c r="F21" i="19"/>
  <c r="F19" i="19"/>
  <c r="D14" i="19"/>
  <c r="F14" i="19" s="1"/>
  <c r="F11" i="19"/>
  <c r="F16" i="19"/>
  <c r="F10" i="19"/>
  <c r="F17" i="19"/>
  <c r="F15" i="19"/>
  <c r="F8" i="19"/>
  <c r="I18" i="12"/>
  <c r="D18" i="12"/>
  <c r="D16" i="12"/>
  <c r="F16" i="12"/>
  <c r="E5" i="12"/>
  <c r="F5" i="12" s="1"/>
  <c r="D7" i="12"/>
  <c r="F7" i="12" s="1"/>
  <c r="F6" i="12"/>
  <c r="D22" i="19" l="1"/>
  <c r="F13" i="19"/>
  <c r="F20" i="19"/>
  <c r="D8" i="12"/>
  <c r="F8" i="12" s="1"/>
  <c r="D23" i="19" l="1"/>
  <c r="D24" i="19" s="1"/>
  <c r="F22" i="19"/>
  <c r="D9" i="12"/>
  <c r="D10" i="12"/>
  <c r="F9" i="12"/>
  <c r="F23" i="19" l="1"/>
  <c r="D11" i="12"/>
  <c r="F10" i="12"/>
  <c r="D27" i="19" l="1"/>
  <c r="F25" i="19"/>
  <c r="F24" i="19"/>
  <c r="F11" i="12"/>
  <c r="D12" i="12"/>
  <c r="D28" i="19" l="1"/>
  <c r="D29" i="19" s="1"/>
  <c r="F27" i="19"/>
  <c r="F12" i="12"/>
  <c r="D13" i="12"/>
  <c r="F13" i="12" s="1"/>
  <c r="F28" i="19" l="1"/>
  <c r="F22" i="12"/>
  <c r="G13" i="12" s="1"/>
  <c r="F29" i="19" l="1"/>
  <c r="G29" i="19"/>
  <c r="G12" i="12"/>
  <c r="G16" i="12"/>
  <c r="G22" i="12"/>
  <c r="G6" i="12"/>
  <c r="G8" i="12"/>
  <c r="G5" i="12"/>
  <c r="G7" i="12"/>
  <c r="G9" i="12"/>
  <c r="G10" i="12"/>
  <c r="G11" i="12"/>
  <c r="H5" i="12" l="1"/>
  <c r="I5" i="12" s="1"/>
  <c r="H6" i="12"/>
  <c r="I6" i="12" s="1"/>
  <c r="H13" i="12"/>
  <c r="I13" i="12" s="1"/>
  <c r="H7" i="12"/>
  <c r="I7" i="12" s="1"/>
  <c r="H8" i="12"/>
  <c r="I8" i="12" s="1"/>
  <c r="H11" i="12"/>
  <c r="I11" i="12" s="1"/>
  <c r="H9" i="12"/>
  <c r="I9" i="12" s="1"/>
  <c r="H12" i="12"/>
  <c r="I12" i="12" s="1"/>
  <c r="H10" i="12"/>
  <c r="I10" i="12" s="1"/>
</calcChain>
</file>

<file path=xl/sharedStrings.xml><?xml version="1.0" encoding="utf-8"?>
<sst xmlns="http://schemas.openxmlformats.org/spreadsheetml/2006/main" count="85" uniqueCount="81">
  <si>
    <t>(단위:원)</t>
    <phoneticPr fontId="2" type="noConversion"/>
  </si>
  <si>
    <t>구      분</t>
    <phoneticPr fontId="2" type="noConversion"/>
  </si>
  <si>
    <t>요청내용</t>
    <phoneticPr fontId="2" type="noConversion"/>
  </si>
  <si>
    <t>심사내용</t>
    <phoneticPr fontId="2" type="noConversion"/>
  </si>
  <si>
    <t>증 감</t>
    <phoneticPr fontId="2" type="noConversion"/>
  </si>
  <si>
    <t>비 고</t>
    <phoneticPr fontId="2" type="noConversion"/>
  </si>
  <si>
    <t>순
공
사
원
가</t>
    <phoneticPr fontId="2" type="noConversion"/>
  </si>
  <si>
    <t>재
료
비</t>
    <phoneticPr fontId="2" type="noConversion"/>
  </si>
  <si>
    <t>직접재료비</t>
    <phoneticPr fontId="2" type="noConversion"/>
  </si>
  <si>
    <t>간접재료비</t>
    <phoneticPr fontId="2" type="noConversion"/>
  </si>
  <si>
    <t>소      계</t>
    <phoneticPr fontId="2" type="noConversion"/>
  </si>
  <si>
    <t>노
무
비</t>
    <phoneticPr fontId="2" type="noConversion"/>
  </si>
  <si>
    <t>직접노무비</t>
    <phoneticPr fontId="2" type="noConversion"/>
  </si>
  <si>
    <t>간접노무비</t>
    <phoneticPr fontId="2" type="noConversion"/>
  </si>
  <si>
    <t>소       계</t>
    <phoneticPr fontId="2" type="noConversion"/>
  </si>
  <si>
    <t>산재보험료</t>
    <phoneticPr fontId="2" type="noConversion"/>
  </si>
  <si>
    <t>고용보험료</t>
    <phoneticPr fontId="2" type="noConversion"/>
  </si>
  <si>
    <t>일반관리비</t>
    <phoneticPr fontId="2" type="noConversion"/>
  </si>
  <si>
    <t>이         윤</t>
    <phoneticPr fontId="2" type="noConversion"/>
  </si>
  <si>
    <t>총 공 사 비</t>
    <phoneticPr fontId="2" type="noConversion"/>
  </si>
  <si>
    <t>심사결과 요약서</t>
    <phoneticPr fontId="2" type="noConversion"/>
  </si>
  <si>
    <t>석축쌓기 레미콘타설품 삭제</t>
    <phoneticPr fontId="2" type="noConversion"/>
  </si>
  <si>
    <t>기존 공사비</t>
    <phoneticPr fontId="2" type="noConversion"/>
  </si>
  <si>
    <t>변경 공사비</t>
    <phoneticPr fontId="2" type="noConversion"/>
  </si>
  <si>
    <t>차액</t>
    <phoneticPr fontId="2" type="noConversion"/>
  </si>
  <si>
    <t>맨홀뚜껑설치품 변경</t>
    <phoneticPr fontId="2" type="noConversion"/>
  </si>
  <si>
    <t>관보호공 철근가공조립 간단</t>
    <phoneticPr fontId="2" type="noConversion"/>
  </si>
  <si>
    <t>레미콘타설(인력) 소형-&gt;무근으로 변경</t>
    <phoneticPr fontId="2" type="noConversion"/>
  </si>
  <si>
    <t>되메우기 100%기계로 변경</t>
    <phoneticPr fontId="2" type="noConversion"/>
  </si>
  <si>
    <t>기계규격변경 및 기계계수변경</t>
    <phoneticPr fontId="2" type="noConversion"/>
  </si>
  <si>
    <t>자재단가 변경후</t>
    <phoneticPr fontId="2" type="noConversion"/>
  </si>
  <si>
    <t>미끄럼방지 관급에서 사급으로</t>
    <phoneticPr fontId="2" type="noConversion"/>
  </si>
  <si>
    <t>수정본 차액</t>
    <phoneticPr fontId="2" type="noConversion"/>
  </si>
  <si>
    <t>폐기물 상차</t>
    <phoneticPr fontId="2" type="noConversion"/>
  </si>
  <si>
    <t>굴삭기 0.7㎥</t>
  </si>
  <si>
    <t>굴삭기 0.7㎥</t>
    <phoneticPr fontId="2" type="noConversion"/>
  </si>
  <si>
    <t>터파기(토사)</t>
  </si>
  <si>
    <t>굴삭기 0.4㎥(90%)+인력(10%)</t>
  </si>
  <si>
    <t>폐기물소운반</t>
    <phoneticPr fontId="2" type="noConversion"/>
  </si>
  <si>
    <t>경운기(L=200.0m)</t>
  </si>
  <si>
    <t>경운기(L=200.0m)</t>
    <phoneticPr fontId="2" type="noConversion"/>
  </si>
  <si>
    <t>잔토처리(토사)</t>
    <phoneticPr fontId="2" type="noConversion"/>
  </si>
  <si>
    <t>굴삭기 0.7㎥+D/T 15ton</t>
    <phoneticPr fontId="2" type="noConversion"/>
  </si>
  <si>
    <t>되메우기 및 다짐(토사)</t>
    <phoneticPr fontId="2" type="noConversion"/>
  </si>
  <si>
    <t>굴삭기 0.4㎥+래머 80kg</t>
  </si>
  <si>
    <t>관기초부설 및 다짐(관주위)</t>
  </si>
  <si>
    <t>굴삭기0.4㎥(90%)+인력(10%)</t>
  </si>
  <si>
    <t>잔토상차</t>
  </si>
  <si>
    <t>모래소운반</t>
  </si>
  <si>
    <t>경운기(L=20.0m)</t>
  </si>
  <si>
    <t>조립식 간이흙막이 설치</t>
    <phoneticPr fontId="2" type="noConversion"/>
  </si>
  <si>
    <t>H=3.0, W=1.5</t>
  </si>
  <si>
    <t>H=4.0, W=1.5</t>
  </si>
  <si>
    <t>H=3.0, W=2.6</t>
  </si>
  <si>
    <t>H=4.0, W=2.6</t>
  </si>
  <si>
    <t>천공홀 모래채움</t>
  </si>
  <si>
    <t>B/H 0.4㎥(80%)+인력(20%)</t>
  </si>
  <si>
    <t>계약심사본</t>
    <phoneticPr fontId="2" type="noConversion"/>
  </si>
  <si>
    <t>보정율</t>
    <phoneticPr fontId="2" type="noConversion"/>
  </si>
  <si>
    <t>보정금액</t>
    <phoneticPr fontId="2" type="noConversion"/>
  </si>
  <si>
    <t>총금액</t>
    <phoneticPr fontId="2" type="noConversion"/>
  </si>
  <si>
    <t>수정전 총공사비</t>
    <phoneticPr fontId="2" type="noConversion"/>
  </si>
  <si>
    <t>변경공사비</t>
    <phoneticPr fontId="2" type="noConversion"/>
  </si>
  <si>
    <t>차액분과의 차액</t>
    <phoneticPr fontId="2" type="noConversion"/>
  </si>
  <si>
    <t>별도발주</t>
    <phoneticPr fontId="2" type="noConversion"/>
  </si>
  <si>
    <t>계약심사 공사비</t>
    <phoneticPr fontId="2" type="noConversion"/>
  </si>
  <si>
    <t>계</t>
    <phoneticPr fontId="2" type="noConversion"/>
  </si>
  <si>
    <t>경
비</t>
    <phoneticPr fontId="2" type="noConversion"/>
  </si>
  <si>
    <t>부가가치세</t>
    <phoneticPr fontId="2" type="noConversion"/>
  </si>
  <si>
    <t>기 타 경 비</t>
    <phoneticPr fontId="2" type="noConversion"/>
  </si>
  <si>
    <t>산업안전보건관리비</t>
    <phoneticPr fontId="2" type="noConversion"/>
  </si>
  <si>
    <t>노인장기요양보험료</t>
    <phoneticPr fontId="2" type="noConversion"/>
  </si>
  <si>
    <t>퇴직공제부금비</t>
    <phoneticPr fontId="2" type="noConversion"/>
  </si>
  <si>
    <t>국민건강보험료</t>
    <phoneticPr fontId="2" type="noConversion"/>
  </si>
  <si>
    <t>국민연금보험료</t>
    <phoneticPr fontId="2" type="noConversion"/>
  </si>
  <si>
    <t xml:space="preserve"> </t>
    <phoneticPr fontId="2" type="noConversion"/>
  </si>
  <si>
    <t>환경보전비</t>
    <phoneticPr fontId="2" type="noConversion"/>
  </si>
  <si>
    <t>직 접 경 비</t>
    <phoneticPr fontId="2" type="noConversion"/>
  </si>
  <si>
    <t>견적가</t>
    <phoneticPr fontId="2" type="noConversion"/>
  </si>
  <si>
    <t>총원가</t>
    <phoneticPr fontId="2" type="noConversion"/>
  </si>
  <si>
    <t>공사명: 승강기안전관리법 강화에 따른 에스컬레이터 개량공사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</si>
</sst>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  <numFmt numFmtId="177" formatCode="0.00_ "/>
    <numFmt numFmtId="178" formatCode="&quot;증 &quot;#,##0;[Red]&quot;감 &quot;#,##0;&quot;&quot;"/>
  </numFmts>
  <fonts count="13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6"/>
      <name val="굴림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11"/>
      <color indexed="12"/>
      <name val="굴림"/>
      <family val="3"/>
      <charset val="129"/>
    </font>
    <font>
      <b/>
      <sz val="11"/>
      <name val="돋움"/>
      <family val="3"/>
      <charset val="129"/>
    </font>
    <font>
      <b/>
      <sz val="8"/>
      <name val="돋움"/>
      <family val="3"/>
      <charset val="129"/>
    </font>
    <font>
      <b/>
      <sz val="11"/>
      <color rgb="FFFF0000"/>
      <name val="돋움"/>
      <family val="3"/>
      <charset val="129"/>
    </font>
    <font>
      <b/>
      <sz val="11"/>
      <color rgb="FF002060"/>
      <name val="돋움"/>
      <family val="3"/>
      <charset val="129"/>
    </font>
    <font>
      <b/>
      <sz val="12"/>
      <name val="굴림"/>
      <family val="3"/>
      <charset val="129"/>
    </font>
    <font>
      <sz val="11"/>
      <color rgb="FFFF0000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42" fontId="7" fillId="0" borderId="0" xfId="2" applyFont="1" applyAlignment="1">
      <alignment horizontal="center" vertical="center"/>
    </xf>
    <xf numFmtId="42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2" fontId="7" fillId="0" borderId="1" xfId="0" applyNumberFormat="1" applyFont="1" applyBorder="1" applyAlignment="1">
      <alignment horizontal="center" vertical="center"/>
    </xf>
    <xf numFmtId="42" fontId="7" fillId="0" borderId="1" xfId="2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2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horizontal="center" vertical="center"/>
    </xf>
    <xf numFmtId="42" fontId="10" fillId="0" borderId="1" xfId="2" applyFont="1" applyBorder="1" applyAlignment="1">
      <alignment horizontal="center" vertical="center"/>
    </xf>
    <xf numFmtId="42" fontId="9" fillId="0" borderId="0" xfId="2" applyFont="1" applyAlignment="1">
      <alignment horizontal="center" vertical="center"/>
    </xf>
    <xf numFmtId="176" fontId="0" fillId="0" borderId="0" xfId="0" applyNumberFormat="1">
      <alignment vertical="center"/>
    </xf>
    <xf numFmtId="178" fontId="6" fillId="0" borderId="1" xfId="1" applyNumberFormat="1" applyFont="1" applyBorder="1" applyAlignment="1">
      <alignment horizontal="right" vertical="center"/>
    </xf>
    <xf numFmtId="0" fontId="4" fillId="0" borderId="6" xfId="0" applyFont="1" applyBorder="1">
      <alignment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178" fontId="6" fillId="0" borderId="8" xfId="1" applyNumberFormat="1" applyFont="1" applyBorder="1" applyAlignment="1">
      <alignment horizontal="right" vertical="center"/>
    </xf>
    <xf numFmtId="10" fontId="4" fillId="0" borderId="9" xfId="3" applyNumberFormat="1" applyFont="1" applyBorder="1">
      <alignment vertical="center"/>
    </xf>
    <xf numFmtId="178" fontId="6" fillId="0" borderId="10" xfId="1" applyNumberFormat="1" applyFont="1" applyBorder="1" applyAlignment="1">
      <alignment horizontal="right" vertical="center"/>
    </xf>
    <xf numFmtId="0" fontId="4" fillId="0" borderId="11" xfId="0" applyFont="1" applyBorder="1">
      <alignment vertical="center"/>
    </xf>
    <xf numFmtId="41" fontId="4" fillId="0" borderId="12" xfId="1" applyFont="1" applyBorder="1">
      <alignment vertical="center"/>
    </xf>
    <xf numFmtId="41" fontId="4" fillId="0" borderId="13" xfId="1" applyFont="1" applyBorder="1">
      <alignment vertical="center"/>
    </xf>
    <xf numFmtId="41" fontId="5" fillId="0" borderId="13" xfId="1" applyFont="1" applyBorder="1">
      <alignment vertical="center"/>
    </xf>
    <xf numFmtId="41" fontId="4" fillId="0" borderId="13" xfId="1" applyNumberFormat="1" applyFont="1" applyFill="1" applyBorder="1">
      <alignment vertical="center"/>
    </xf>
    <xf numFmtId="41" fontId="5" fillId="0" borderId="13" xfId="1" applyFont="1" applyBorder="1" applyAlignment="1">
      <alignment horizontal="right" vertical="center"/>
    </xf>
    <xf numFmtId="41" fontId="4" fillId="0" borderId="13" xfId="1" applyFont="1" applyFill="1" applyBorder="1">
      <alignment vertical="center"/>
    </xf>
    <xf numFmtId="41" fontId="5" fillId="0" borderId="14" xfId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distributed"/>
    </xf>
    <xf numFmtId="178" fontId="12" fillId="0" borderId="1" xfId="1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4">
    <cellStyle name="백분율" xfId="3" builtinId="5"/>
    <cellStyle name="쉼표 [0]" xfId="1" builtinId="6"/>
    <cellStyle name="통화 [0]" xfId="2" builtinId="7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zoomScaleNormal="100" zoomScaleSheetLayoutView="100" workbookViewId="0">
      <selection activeCell="E4" sqref="E4:E5"/>
    </sheetView>
  </sheetViews>
  <sheetFormatPr defaultRowHeight="13.5" x14ac:dyDescent="0.15"/>
  <cols>
    <col min="1" max="2" width="4" customWidth="1"/>
    <col min="3" max="3" width="17.77734375" customWidth="1"/>
    <col min="4" max="5" width="15.21875" customWidth="1"/>
    <col min="6" max="6" width="13.5546875" customWidth="1"/>
    <col min="7" max="7" width="12.44140625" customWidth="1"/>
    <col min="9" max="9" width="10.5546875" bestFit="1" customWidth="1"/>
  </cols>
  <sheetData>
    <row r="1" spans="1:7" ht="43.9" customHeight="1" x14ac:dyDescent="0.15">
      <c r="A1" s="40" t="s">
        <v>20</v>
      </c>
      <c r="B1" s="40"/>
      <c r="C1" s="40"/>
      <c r="D1" s="40"/>
      <c r="E1" s="40"/>
      <c r="F1" s="40"/>
      <c r="G1" s="40"/>
    </row>
    <row r="2" spans="1:7" ht="19.5" customHeight="1" x14ac:dyDescent="0.15">
      <c r="A2" s="41" t="s">
        <v>80</v>
      </c>
      <c r="B2" s="41"/>
      <c r="C2" s="41"/>
      <c r="D2" s="41"/>
      <c r="E2" s="41"/>
      <c r="F2" s="41"/>
      <c r="G2" s="41"/>
    </row>
    <row r="3" spans="1:7" ht="14.25" thickBot="1" x14ac:dyDescent="0.2">
      <c r="A3" s="42" t="s">
        <v>0</v>
      </c>
      <c r="B3" s="42"/>
      <c r="C3" s="42"/>
      <c r="D3" s="42"/>
      <c r="E3" s="42"/>
      <c r="F3" s="42"/>
      <c r="G3" s="42"/>
    </row>
    <row r="4" spans="1:7" ht="11.25" customHeight="1" x14ac:dyDescent="0.15">
      <c r="A4" s="43" t="s">
        <v>1</v>
      </c>
      <c r="B4" s="44"/>
      <c r="C4" s="44"/>
      <c r="D4" s="44" t="s">
        <v>2</v>
      </c>
      <c r="E4" s="44" t="s">
        <v>3</v>
      </c>
      <c r="F4" s="44" t="s">
        <v>4</v>
      </c>
      <c r="G4" s="47" t="s">
        <v>5</v>
      </c>
    </row>
    <row r="5" spans="1:7" ht="20.25" customHeight="1" thickBot="1" x14ac:dyDescent="0.2">
      <c r="A5" s="45"/>
      <c r="B5" s="46"/>
      <c r="C5" s="46"/>
      <c r="D5" s="46"/>
      <c r="E5" s="46"/>
      <c r="F5" s="46"/>
      <c r="G5" s="48"/>
    </row>
    <row r="6" spans="1:7" ht="23.25" customHeight="1" x14ac:dyDescent="0.15">
      <c r="A6" s="37" t="s">
        <v>6</v>
      </c>
      <c r="B6" s="39" t="s">
        <v>7</v>
      </c>
      <c r="C6" s="29" t="s">
        <v>8</v>
      </c>
      <c r="D6" s="22">
        <v>0</v>
      </c>
      <c r="E6" s="22">
        <v>0</v>
      </c>
      <c r="F6" s="20">
        <f>E6-D6</f>
        <v>0</v>
      </c>
      <c r="G6" s="21"/>
    </row>
    <row r="7" spans="1:7" ht="23.25" customHeight="1" x14ac:dyDescent="0.15">
      <c r="A7" s="38"/>
      <c r="B7" s="36"/>
      <c r="C7" s="17" t="s">
        <v>9</v>
      </c>
      <c r="D7" s="23">
        <v>0</v>
      </c>
      <c r="E7" s="23">
        <v>0</v>
      </c>
      <c r="F7" s="14">
        <f t="shared" ref="F7:F29" si="0">E7-D7</f>
        <v>0</v>
      </c>
      <c r="G7" s="15"/>
    </row>
    <row r="8" spans="1:7" ht="23.25" customHeight="1" x14ac:dyDescent="0.15">
      <c r="A8" s="38"/>
      <c r="B8" s="36"/>
      <c r="C8" s="30" t="s">
        <v>10</v>
      </c>
      <c r="D8" s="24">
        <f>SUM(D6:D7)</f>
        <v>0</v>
      </c>
      <c r="E8" s="24">
        <f>SUM(E6:E7)</f>
        <v>0</v>
      </c>
      <c r="F8" s="14">
        <f t="shared" si="0"/>
        <v>0</v>
      </c>
      <c r="G8" s="16"/>
    </row>
    <row r="9" spans="1:7" ht="23.25" customHeight="1" x14ac:dyDescent="0.15">
      <c r="A9" s="38"/>
      <c r="B9" s="36" t="s">
        <v>11</v>
      </c>
      <c r="C9" s="17" t="s">
        <v>12</v>
      </c>
      <c r="D9" s="23">
        <v>56590022</v>
      </c>
      <c r="E9" s="23">
        <v>56590022</v>
      </c>
      <c r="F9" s="14">
        <f t="shared" si="0"/>
        <v>0</v>
      </c>
      <c r="G9" s="15"/>
    </row>
    <row r="10" spans="1:7" ht="23.25" customHeight="1" x14ac:dyDescent="0.15">
      <c r="A10" s="38"/>
      <c r="B10" s="36"/>
      <c r="C10" s="17" t="s">
        <v>13</v>
      </c>
      <c r="D10" s="23">
        <v>0</v>
      </c>
      <c r="E10" s="23">
        <v>0</v>
      </c>
      <c r="F10" s="14">
        <f t="shared" si="0"/>
        <v>0</v>
      </c>
      <c r="G10" s="15"/>
    </row>
    <row r="11" spans="1:7" ht="23.25" customHeight="1" x14ac:dyDescent="0.15">
      <c r="A11" s="38"/>
      <c r="B11" s="36"/>
      <c r="C11" s="30" t="s">
        <v>14</v>
      </c>
      <c r="D11" s="24">
        <f>SUM(D9:D10)</f>
        <v>56590022</v>
      </c>
      <c r="E11" s="24">
        <f>SUM(E9:E10)</f>
        <v>56590022</v>
      </c>
      <c r="F11" s="14">
        <f t="shared" si="0"/>
        <v>0</v>
      </c>
      <c r="G11" s="16"/>
    </row>
    <row r="12" spans="1:7" ht="23.25" customHeight="1" x14ac:dyDescent="0.15">
      <c r="A12" s="38"/>
      <c r="B12" s="36" t="s">
        <v>67</v>
      </c>
      <c r="C12" s="17" t="s">
        <v>77</v>
      </c>
      <c r="D12" s="23">
        <v>0</v>
      </c>
      <c r="E12" s="23">
        <v>0</v>
      </c>
      <c r="F12" s="32">
        <f t="shared" si="0"/>
        <v>0</v>
      </c>
      <c r="G12" s="15"/>
    </row>
    <row r="13" spans="1:7" ht="23.25" customHeight="1" x14ac:dyDescent="0.15">
      <c r="A13" s="38"/>
      <c r="B13" s="36"/>
      <c r="C13" s="17" t="s">
        <v>15</v>
      </c>
      <c r="D13" s="23">
        <f>INT(D11*3.7%)</f>
        <v>2093830</v>
      </c>
      <c r="E13" s="23">
        <f>INT(E11*3.7%)</f>
        <v>2093830</v>
      </c>
      <c r="F13" s="14">
        <f t="shared" ref="F13:F14" si="1">E13-D13</f>
        <v>0</v>
      </c>
      <c r="G13" s="15"/>
    </row>
    <row r="14" spans="1:7" ht="23.25" customHeight="1" x14ac:dyDescent="0.15">
      <c r="A14" s="38"/>
      <c r="B14" s="36"/>
      <c r="C14" s="17" t="s">
        <v>16</v>
      </c>
      <c r="D14" s="23">
        <f>INT(D11*0.87%)</f>
        <v>492333</v>
      </c>
      <c r="E14" s="23">
        <f>INT(E11*0.87%)</f>
        <v>492333</v>
      </c>
      <c r="F14" s="14">
        <f t="shared" si="1"/>
        <v>0</v>
      </c>
      <c r="G14" s="15"/>
    </row>
    <row r="15" spans="1:7" ht="23.25" customHeight="1" x14ac:dyDescent="0.15">
      <c r="A15" s="38"/>
      <c r="B15" s="36"/>
      <c r="C15" s="17" t="s">
        <v>73</v>
      </c>
      <c r="D15" s="23">
        <f>INT(D9*3.43%)</f>
        <v>1941037</v>
      </c>
      <c r="E15" s="23">
        <f>INT(E9*3.43%)</f>
        <v>1941037</v>
      </c>
      <c r="F15" s="14">
        <f>E15-D15</f>
        <v>0</v>
      </c>
      <c r="G15" s="15"/>
    </row>
    <row r="16" spans="1:7" ht="23.25" customHeight="1" x14ac:dyDescent="0.15">
      <c r="A16" s="38"/>
      <c r="B16" s="36"/>
      <c r="C16" s="17" t="s">
        <v>74</v>
      </c>
      <c r="D16" s="23">
        <f>INT(D9*4.5%)</f>
        <v>2546550</v>
      </c>
      <c r="E16" s="23">
        <f>INT(E9*4.5%)</f>
        <v>2546550</v>
      </c>
      <c r="F16" s="14">
        <f>E16-D16</f>
        <v>0</v>
      </c>
      <c r="G16" s="15"/>
    </row>
    <row r="17" spans="1:8" ht="23.25" customHeight="1" x14ac:dyDescent="0.15">
      <c r="A17" s="38"/>
      <c r="B17" s="36"/>
      <c r="C17" s="31" t="s">
        <v>71</v>
      </c>
      <c r="D17" s="23">
        <f>INT(D15*11.52%)</f>
        <v>223607</v>
      </c>
      <c r="E17" s="23">
        <f>INT(E15*11.52%)</f>
        <v>223607</v>
      </c>
      <c r="F17" s="14">
        <f t="shared" ref="F17:F19" si="2">E17-D17</f>
        <v>0</v>
      </c>
      <c r="G17" s="15"/>
    </row>
    <row r="18" spans="1:8" ht="23.25" customHeight="1" x14ac:dyDescent="0.15">
      <c r="A18" s="38"/>
      <c r="B18" s="36"/>
      <c r="C18" s="31" t="s">
        <v>72</v>
      </c>
      <c r="D18" s="23">
        <f>INT(D9*2.3%)</f>
        <v>1301570</v>
      </c>
      <c r="E18" s="23">
        <f>INT(E9*2.3%)</f>
        <v>1301570</v>
      </c>
      <c r="F18" s="14">
        <f t="shared" si="2"/>
        <v>0</v>
      </c>
      <c r="G18" s="15"/>
    </row>
    <row r="19" spans="1:8" ht="23.25" customHeight="1" x14ac:dyDescent="0.15">
      <c r="A19" s="38"/>
      <c r="B19" s="36"/>
      <c r="C19" s="31" t="s">
        <v>76</v>
      </c>
      <c r="D19" s="23">
        <v>0</v>
      </c>
      <c r="E19" s="23">
        <v>0</v>
      </c>
      <c r="F19" s="14">
        <f t="shared" si="2"/>
        <v>0</v>
      </c>
      <c r="G19" s="15"/>
    </row>
    <row r="20" spans="1:8" ht="23.25" customHeight="1" x14ac:dyDescent="0.15">
      <c r="A20" s="38"/>
      <c r="B20" s="36"/>
      <c r="C20" s="17" t="s">
        <v>70</v>
      </c>
      <c r="D20" s="25">
        <f>INT((D8+D9)*3.09%)</f>
        <v>1748631</v>
      </c>
      <c r="E20" s="25">
        <f>INT((E8+E9)*3.09%)</f>
        <v>1748631</v>
      </c>
      <c r="F20" s="14">
        <f>E20-D20</f>
        <v>0</v>
      </c>
      <c r="G20" s="15"/>
    </row>
    <row r="21" spans="1:8" ht="23.25" customHeight="1" x14ac:dyDescent="0.15">
      <c r="A21" s="38"/>
      <c r="B21" s="36"/>
      <c r="C21" s="17" t="s">
        <v>69</v>
      </c>
      <c r="D21" s="23">
        <f>INT((D8+D9)*5.6%)</f>
        <v>3169041</v>
      </c>
      <c r="E21" s="23">
        <f>INT((E8+E9)*5.6%)</f>
        <v>3169041</v>
      </c>
      <c r="F21" s="14">
        <f>E21-D21</f>
        <v>0</v>
      </c>
      <c r="G21" s="15"/>
    </row>
    <row r="22" spans="1:8" ht="23.25" customHeight="1" x14ac:dyDescent="0.15">
      <c r="A22" s="38"/>
      <c r="B22" s="36"/>
      <c r="C22" s="30" t="s">
        <v>14</v>
      </c>
      <c r="D22" s="26">
        <f>SUM(D12:D21)</f>
        <v>13516599</v>
      </c>
      <c r="E22" s="26">
        <f>SUM(E12:E21)</f>
        <v>13516599</v>
      </c>
      <c r="F22" s="14">
        <f t="shared" si="0"/>
        <v>0</v>
      </c>
      <c r="G22" s="16"/>
    </row>
    <row r="23" spans="1:8" ht="23.25" customHeight="1" x14ac:dyDescent="0.15">
      <c r="A23" s="38"/>
      <c r="B23" s="34" t="s">
        <v>66</v>
      </c>
      <c r="C23" s="35"/>
      <c r="D23" s="24">
        <f>D22+D11+D8</f>
        <v>70106621</v>
      </c>
      <c r="E23" s="24">
        <f>E22+E11+E8</f>
        <v>70106621</v>
      </c>
      <c r="F23" s="14">
        <f t="shared" si="0"/>
        <v>0</v>
      </c>
      <c r="G23" s="16"/>
    </row>
    <row r="24" spans="1:8" ht="23.25" customHeight="1" x14ac:dyDescent="0.15">
      <c r="A24" s="49" t="s">
        <v>17</v>
      </c>
      <c r="B24" s="50"/>
      <c r="C24" s="51"/>
      <c r="D24" s="23">
        <f>INT(D23*6%)</f>
        <v>4206397</v>
      </c>
      <c r="E24" s="23">
        <f>INT(E23*6%)</f>
        <v>4206397</v>
      </c>
      <c r="F24" s="14">
        <f t="shared" si="0"/>
        <v>0</v>
      </c>
      <c r="G24" s="15"/>
    </row>
    <row r="25" spans="1:8" ht="23.25" customHeight="1" x14ac:dyDescent="0.15">
      <c r="A25" s="49" t="s">
        <v>18</v>
      </c>
      <c r="B25" s="50"/>
      <c r="C25" s="51"/>
      <c r="D25" s="27">
        <f>INT((D11+D22+D24)*15%)</f>
        <v>11146952</v>
      </c>
      <c r="E25" s="27">
        <f>INT((E11+E22+E24)*15%)</f>
        <v>11146952</v>
      </c>
      <c r="F25" s="14">
        <f t="shared" si="0"/>
        <v>0</v>
      </c>
      <c r="G25" s="15"/>
      <c r="H25" s="13"/>
    </row>
    <row r="26" spans="1:8" ht="23.25" customHeight="1" x14ac:dyDescent="0.15">
      <c r="A26" s="49" t="s">
        <v>78</v>
      </c>
      <c r="B26" s="50"/>
      <c r="C26" s="51"/>
      <c r="D26" s="23">
        <v>347709254</v>
      </c>
      <c r="E26" s="23">
        <v>347709254</v>
      </c>
      <c r="F26" s="14" t="s">
        <v>75</v>
      </c>
      <c r="G26" s="33"/>
      <c r="H26" s="13"/>
    </row>
    <row r="27" spans="1:8" ht="23.25" customHeight="1" x14ac:dyDescent="0.15">
      <c r="A27" s="49" t="s">
        <v>79</v>
      </c>
      <c r="B27" s="50"/>
      <c r="C27" s="51"/>
      <c r="D27" s="27">
        <f>D23+D24+D25+D26</f>
        <v>433169224</v>
      </c>
      <c r="E27" s="27">
        <f>E23+E24+E25+E26</f>
        <v>433169224</v>
      </c>
      <c r="F27" s="14">
        <f t="shared" si="0"/>
        <v>0</v>
      </c>
      <c r="G27" s="15"/>
    </row>
    <row r="28" spans="1:8" ht="23.25" customHeight="1" x14ac:dyDescent="0.15">
      <c r="A28" s="49" t="s">
        <v>68</v>
      </c>
      <c r="B28" s="50"/>
      <c r="C28" s="51"/>
      <c r="D28" s="23">
        <f>INT((D27)*10%)</f>
        <v>43316922</v>
      </c>
      <c r="E28" s="23">
        <f>INT((E27)*10%)</f>
        <v>43316922</v>
      </c>
      <c r="F28" s="14">
        <f t="shared" si="0"/>
        <v>0</v>
      </c>
      <c r="G28" s="17"/>
    </row>
    <row r="29" spans="1:8" ht="23.25" customHeight="1" thickBot="1" x14ac:dyDescent="0.2">
      <c r="A29" s="45" t="s">
        <v>19</v>
      </c>
      <c r="B29" s="46"/>
      <c r="C29" s="48"/>
      <c r="D29" s="28">
        <f>ROUNDDOWN((D27+D28),-4)</f>
        <v>476480000</v>
      </c>
      <c r="E29" s="28">
        <f>ROUNDDOWN((E27+E28),-4)</f>
        <v>476480000</v>
      </c>
      <c r="F29" s="18">
        <f t="shared" si="0"/>
        <v>0</v>
      </c>
      <c r="G29" s="19">
        <f t="shared" ref="G29" si="3">(E29-D29)/D29</f>
        <v>0</v>
      </c>
    </row>
    <row r="30" spans="1:8" ht="21.95" customHeight="1" x14ac:dyDescent="0.15">
      <c r="D30" s="13"/>
      <c r="E30" s="13"/>
    </row>
    <row r="31" spans="1:8" ht="21.95" customHeight="1" x14ac:dyDescent="0.15"/>
    <row r="32" spans="1:8" ht="21.95" customHeight="1" x14ac:dyDescent="0.15"/>
    <row r="33" ht="21.95" customHeight="1" x14ac:dyDescent="0.15"/>
    <row r="34" ht="21.95" customHeight="1" x14ac:dyDescent="0.15"/>
    <row r="35" ht="21.95" customHeight="1" x14ac:dyDescent="0.15"/>
    <row r="36" ht="21.95" customHeight="1" x14ac:dyDescent="0.15"/>
    <row r="37" ht="21.95" customHeight="1" x14ac:dyDescent="0.15"/>
    <row r="38" ht="21.95" customHeight="1" x14ac:dyDescent="0.15"/>
    <row r="39" ht="21.95" customHeight="1" x14ac:dyDescent="0.15"/>
    <row r="40" ht="21.95" customHeight="1" x14ac:dyDescent="0.15"/>
    <row r="41" ht="21.95" customHeight="1" x14ac:dyDescent="0.15"/>
    <row r="42" ht="21.95" customHeight="1" x14ac:dyDescent="0.15"/>
    <row r="43" ht="21.95" customHeight="1" x14ac:dyDescent="0.15"/>
    <row r="44" ht="21.95" customHeight="1" x14ac:dyDescent="0.15"/>
    <row r="45" ht="21.95" customHeight="1" x14ac:dyDescent="0.15"/>
    <row r="46" ht="21.95" customHeight="1" x14ac:dyDescent="0.15"/>
    <row r="47" ht="21.95" customHeight="1" x14ac:dyDescent="0.15"/>
    <row r="48" ht="21.95" customHeight="1" x14ac:dyDescent="0.15"/>
    <row r="49" ht="21.95" customHeight="1" x14ac:dyDescent="0.15"/>
    <row r="50" ht="21.95" customHeight="1" x14ac:dyDescent="0.15"/>
    <row r="51" ht="21.95" customHeight="1" x14ac:dyDescent="0.15"/>
    <row r="52" ht="21.95" customHeight="1" x14ac:dyDescent="0.15"/>
    <row r="53" ht="21.95" customHeight="1" x14ac:dyDescent="0.15"/>
    <row r="54" ht="21.95" customHeight="1" x14ac:dyDescent="0.15"/>
    <row r="55" ht="21.95" customHeight="1" x14ac:dyDescent="0.15"/>
    <row r="56" ht="21.95" customHeight="1" x14ac:dyDescent="0.15"/>
    <row r="57" ht="21.95" customHeight="1" x14ac:dyDescent="0.15"/>
    <row r="58" ht="21.95" customHeight="1" x14ac:dyDescent="0.15"/>
    <row r="59" ht="21.95" customHeight="1" x14ac:dyDescent="0.15"/>
    <row r="60" ht="21.95" customHeight="1" x14ac:dyDescent="0.15"/>
    <row r="61" ht="21.95" customHeight="1" x14ac:dyDescent="0.15"/>
    <row r="62" ht="21.95" customHeight="1" x14ac:dyDescent="0.15"/>
    <row r="63" ht="21.95" customHeight="1" x14ac:dyDescent="0.15"/>
    <row r="64" ht="21.95" customHeight="1" x14ac:dyDescent="0.15"/>
    <row r="65" ht="21.95" customHeight="1" x14ac:dyDescent="0.15"/>
    <row r="66" ht="21.95" customHeight="1" x14ac:dyDescent="0.15"/>
    <row r="67" ht="21.95" customHeight="1" x14ac:dyDescent="0.15"/>
    <row r="68" ht="21.95" customHeight="1" x14ac:dyDescent="0.15"/>
    <row r="69" ht="21.95" customHeight="1" x14ac:dyDescent="0.15"/>
    <row r="70" ht="21.95" customHeight="1" x14ac:dyDescent="0.15"/>
    <row r="71" ht="21.95" customHeight="1" x14ac:dyDescent="0.15"/>
    <row r="72" ht="21.95" customHeight="1" x14ac:dyDescent="0.15"/>
    <row r="73" ht="21.95" customHeight="1" x14ac:dyDescent="0.15"/>
    <row r="74" ht="21.95" customHeight="1" x14ac:dyDescent="0.15"/>
    <row r="75" ht="21.95" customHeight="1" x14ac:dyDescent="0.15"/>
    <row r="76" ht="21.95" customHeight="1" x14ac:dyDescent="0.15"/>
  </sheetData>
  <mergeCells count="19">
    <mergeCell ref="A29:C29"/>
    <mergeCell ref="A24:C24"/>
    <mergeCell ref="A25:C25"/>
    <mergeCell ref="A27:C27"/>
    <mergeCell ref="A28:C28"/>
    <mergeCell ref="A26:C26"/>
    <mergeCell ref="A1:G1"/>
    <mergeCell ref="A2:G2"/>
    <mergeCell ref="A3:G3"/>
    <mergeCell ref="A4:C5"/>
    <mergeCell ref="D4:D5"/>
    <mergeCell ref="E4:E5"/>
    <mergeCell ref="F4:F5"/>
    <mergeCell ref="G4:G5"/>
    <mergeCell ref="B23:C23"/>
    <mergeCell ref="B12:B22"/>
    <mergeCell ref="B9:B11"/>
    <mergeCell ref="A6:A23"/>
    <mergeCell ref="B6:B8"/>
  </mergeCells>
  <phoneticPr fontId="2" type="noConversion"/>
  <pageMargins left="0.74803149606299213" right="0.39370078740157483" top="0.98425196850393704" bottom="0.6692913385826772" header="0.27559055118110237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8"/>
  <sheetViews>
    <sheetView workbookViewId="0">
      <selection activeCell="E16" sqref="E16"/>
    </sheetView>
  </sheetViews>
  <sheetFormatPr defaultRowHeight="13.5" x14ac:dyDescent="0.15"/>
  <cols>
    <col min="2" max="2" width="47.88671875" customWidth="1"/>
    <col min="3" max="6" width="18.33203125" customWidth="1"/>
    <col min="7" max="10" width="19.21875" customWidth="1"/>
    <col min="11" max="12" width="26.88671875" customWidth="1"/>
  </cols>
  <sheetData>
    <row r="3" spans="2:13" ht="25.5" customHeight="1" x14ac:dyDescent="0.15">
      <c r="K3" s="52" t="s">
        <v>29</v>
      </c>
      <c r="L3" s="52"/>
    </row>
    <row r="4" spans="2:13" ht="23.25" customHeight="1" x14ac:dyDescent="0.15">
      <c r="B4" s="4"/>
      <c r="C4" s="4" t="s">
        <v>65</v>
      </c>
      <c r="D4" s="4" t="s">
        <v>22</v>
      </c>
      <c r="E4" s="4" t="s">
        <v>23</v>
      </c>
      <c r="F4" s="4" t="s">
        <v>24</v>
      </c>
      <c r="G4" s="4" t="s">
        <v>58</v>
      </c>
      <c r="H4" s="4" t="s">
        <v>59</v>
      </c>
      <c r="I4" s="4" t="s">
        <v>60</v>
      </c>
      <c r="J4" s="4"/>
      <c r="K4" s="5" t="s">
        <v>33</v>
      </c>
      <c r="L4" s="5" t="s">
        <v>35</v>
      </c>
      <c r="M4" s="1"/>
    </row>
    <row r="5" spans="2:13" ht="23.25" customHeight="1" x14ac:dyDescent="0.15">
      <c r="B5" s="4" t="s">
        <v>32</v>
      </c>
      <c r="C5" s="6"/>
      <c r="D5" s="6">
        <v>1278400000</v>
      </c>
      <c r="E5" s="6">
        <f>D6</f>
        <v>1268563409</v>
      </c>
      <c r="F5" s="9">
        <f>D5-E5</f>
        <v>9836591</v>
      </c>
      <c r="G5" s="10">
        <f t="shared" ref="G5:G13" si="0">F5/$F$22</f>
        <v>0.19428061643297609</v>
      </c>
      <c r="H5" s="9">
        <f>$G$16*G5</f>
        <v>474653.19098712975</v>
      </c>
      <c r="I5" s="11">
        <f>H5+F5</f>
        <v>10311244.190987131</v>
      </c>
      <c r="J5" s="10"/>
      <c r="K5" s="5" t="s">
        <v>36</v>
      </c>
      <c r="L5" s="5" t="s">
        <v>37</v>
      </c>
      <c r="M5" s="1"/>
    </row>
    <row r="6" spans="2:13" ht="23.25" customHeight="1" x14ac:dyDescent="0.15">
      <c r="B6" s="8" t="s">
        <v>21</v>
      </c>
      <c r="C6" s="7"/>
      <c r="D6" s="7">
        <v>1268563409</v>
      </c>
      <c r="E6" s="7">
        <v>1261675880</v>
      </c>
      <c r="F6" s="9">
        <f>D6-E6</f>
        <v>6887529</v>
      </c>
      <c r="G6" s="10">
        <f t="shared" si="0"/>
        <v>0.13603426022490916</v>
      </c>
      <c r="H6" s="9">
        <f t="shared" ref="H6:H13" si="1">$G$16*G6</f>
        <v>332349.65425180277</v>
      </c>
      <c r="I6" s="11">
        <f t="shared" ref="I6:I13" si="2">H6+F6</f>
        <v>7219878.6542518027</v>
      </c>
      <c r="J6" s="10"/>
      <c r="K6" s="5" t="s">
        <v>38</v>
      </c>
      <c r="L6" s="5" t="s">
        <v>40</v>
      </c>
      <c r="M6" s="1"/>
    </row>
    <row r="7" spans="2:13" ht="23.25" customHeight="1" x14ac:dyDescent="0.15">
      <c r="B7" s="8" t="s">
        <v>26</v>
      </c>
      <c r="C7" s="7"/>
      <c r="D7" s="7">
        <f t="shared" ref="D7:D13" si="3">D6</f>
        <v>1268563409</v>
      </c>
      <c r="E7" s="7">
        <v>1268537094</v>
      </c>
      <c r="F7" s="9">
        <f>D7-E7</f>
        <v>26315</v>
      </c>
      <c r="G7" s="10">
        <f t="shared" si="0"/>
        <v>5.1974250240085877E-4</v>
      </c>
      <c r="H7" s="9">
        <f>$G$16*G7</f>
        <v>1269.7995393756148</v>
      </c>
      <c r="I7" s="11">
        <f t="shared" si="2"/>
        <v>27584.799539375614</v>
      </c>
      <c r="J7" s="10"/>
      <c r="K7" s="5" t="s">
        <v>41</v>
      </c>
      <c r="L7" s="5" t="s">
        <v>42</v>
      </c>
      <c r="M7" s="1"/>
    </row>
    <row r="8" spans="2:13" ht="23.25" customHeight="1" x14ac:dyDescent="0.15">
      <c r="B8" s="8" t="s">
        <v>25</v>
      </c>
      <c r="C8" s="7"/>
      <c r="D8" s="7">
        <f t="shared" si="3"/>
        <v>1268563409</v>
      </c>
      <c r="E8" s="7">
        <v>1264756558</v>
      </c>
      <c r="F8" s="9">
        <f t="shared" ref="F8:F13" si="4">D8-E8</f>
        <v>3806851</v>
      </c>
      <c r="G8" s="10">
        <f t="shared" si="0"/>
        <v>7.5188381721725692E-2</v>
      </c>
      <c r="H8" s="9">
        <f t="shared" si="1"/>
        <v>183695.14141256313</v>
      </c>
      <c r="I8" s="11">
        <f t="shared" si="2"/>
        <v>3990546.1414125632</v>
      </c>
      <c r="J8" s="10"/>
      <c r="K8" s="5" t="s">
        <v>43</v>
      </c>
      <c r="L8" s="5" t="s">
        <v>44</v>
      </c>
      <c r="M8" s="1"/>
    </row>
    <row r="9" spans="2:13" ht="23.25" customHeight="1" x14ac:dyDescent="0.15">
      <c r="B9" s="8" t="s">
        <v>27</v>
      </c>
      <c r="C9" s="7"/>
      <c r="D9" s="7">
        <f t="shared" si="3"/>
        <v>1268563409</v>
      </c>
      <c r="E9" s="7">
        <v>1256234046</v>
      </c>
      <c r="F9" s="9">
        <f t="shared" si="4"/>
        <v>12329363</v>
      </c>
      <c r="G9" s="10">
        <f t="shared" si="0"/>
        <v>0.24351487663418428</v>
      </c>
      <c r="H9" s="9">
        <f t="shared" si="1"/>
        <v>594938.9875810279</v>
      </c>
      <c r="I9" s="11">
        <f t="shared" si="2"/>
        <v>12924301.987581028</v>
      </c>
      <c r="J9" s="10"/>
      <c r="K9" s="5" t="s">
        <v>45</v>
      </c>
      <c r="L9" s="5" t="s">
        <v>46</v>
      </c>
      <c r="M9" s="1"/>
    </row>
    <row r="10" spans="2:13" ht="23.25" customHeight="1" x14ac:dyDescent="0.15">
      <c r="B10" s="8" t="s">
        <v>28</v>
      </c>
      <c r="C10" s="7"/>
      <c r="D10" s="7">
        <f t="shared" si="3"/>
        <v>1268563409</v>
      </c>
      <c r="E10" s="7">
        <v>1266993107</v>
      </c>
      <c r="F10" s="9">
        <f t="shared" si="4"/>
        <v>1570302</v>
      </c>
      <c r="G10" s="10">
        <f t="shared" si="0"/>
        <v>3.1014732700173794E-2</v>
      </c>
      <c r="H10" s="9">
        <f t="shared" si="1"/>
        <v>75773.085931241003</v>
      </c>
      <c r="I10" s="11">
        <f t="shared" si="2"/>
        <v>1646075.085931241</v>
      </c>
      <c r="J10" s="10"/>
      <c r="K10" s="5" t="s">
        <v>47</v>
      </c>
      <c r="L10" s="5" t="s">
        <v>34</v>
      </c>
      <c r="M10" s="1"/>
    </row>
    <row r="11" spans="2:13" ht="23.25" customHeight="1" x14ac:dyDescent="0.15">
      <c r="B11" s="8" t="s">
        <v>29</v>
      </c>
      <c r="C11" s="7"/>
      <c r="D11" s="7">
        <f t="shared" si="3"/>
        <v>1268563409</v>
      </c>
      <c r="E11" s="7">
        <v>1256376887</v>
      </c>
      <c r="F11" s="9">
        <f t="shared" si="4"/>
        <v>12186522</v>
      </c>
      <c r="G11" s="10">
        <f t="shared" si="0"/>
        <v>0.24069365152358421</v>
      </c>
      <c r="H11" s="9">
        <f t="shared" si="1"/>
        <v>588046.36223411735</v>
      </c>
      <c r="I11" s="11">
        <f t="shared" si="2"/>
        <v>12774568.362234117</v>
      </c>
      <c r="J11" s="10"/>
      <c r="K11" s="5" t="s">
        <v>48</v>
      </c>
      <c r="L11" s="5" t="s">
        <v>49</v>
      </c>
      <c r="M11" s="1"/>
    </row>
    <row r="12" spans="2:13" ht="23.25" customHeight="1" x14ac:dyDescent="0.15">
      <c r="B12" s="8" t="s">
        <v>30</v>
      </c>
      <c r="C12" s="7"/>
      <c r="D12" s="7">
        <f t="shared" si="3"/>
        <v>1268563409</v>
      </c>
      <c r="E12" s="7">
        <v>1265902655</v>
      </c>
      <c r="F12" s="9">
        <f t="shared" si="4"/>
        <v>2660754</v>
      </c>
      <c r="G12" s="10">
        <f t="shared" si="0"/>
        <v>5.2552040366068579E-2</v>
      </c>
      <c r="H12" s="9">
        <f t="shared" si="1"/>
        <v>128391.57148363386</v>
      </c>
      <c r="I12" s="11">
        <f t="shared" si="2"/>
        <v>2789145.5714836339</v>
      </c>
      <c r="J12" s="10"/>
      <c r="K12" s="5" t="s">
        <v>48</v>
      </c>
      <c r="L12" s="5" t="s">
        <v>39</v>
      </c>
      <c r="M12" s="1"/>
    </row>
    <row r="13" spans="2:13" ht="23.25" customHeight="1" x14ac:dyDescent="0.15">
      <c r="B13" s="8" t="s">
        <v>31</v>
      </c>
      <c r="C13" s="7"/>
      <c r="D13" s="7">
        <f t="shared" si="3"/>
        <v>1268563409</v>
      </c>
      <c r="E13" s="7">
        <v>1267236795</v>
      </c>
      <c r="F13" s="9">
        <f t="shared" si="4"/>
        <v>1326614</v>
      </c>
      <c r="G13" s="10">
        <f t="shared" si="0"/>
        <v>2.6201697893977308E-2</v>
      </c>
      <c r="H13" s="9">
        <f t="shared" si="1"/>
        <v>64014.20657910857</v>
      </c>
      <c r="I13" s="11">
        <f t="shared" si="2"/>
        <v>1390628.2065791085</v>
      </c>
      <c r="J13" s="10"/>
      <c r="K13" s="5" t="s">
        <v>50</v>
      </c>
      <c r="L13" s="5" t="s">
        <v>51</v>
      </c>
      <c r="M13" s="1"/>
    </row>
    <row r="14" spans="2:13" ht="23.25" customHeight="1" x14ac:dyDescent="0.15">
      <c r="B14" s="1"/>
      <c r="C14" s="2"/>
      <c r="D14" s="2"/>
      <c r="E14" s="2"/>
      <c r="F14" s="2"/>
      <c r="G14" s="1"/>
      <c r="H14" s="1"/>
      <c r="I14" s="1"/>
      <c r="J14" s="1"/>
      <c r="K14" s="5"/>
      <c r="L14" s="5" t="s">
        <v>52</v>
      </c>
      <c r="M14" s="1"/>
    </row>
    <row r="15" spans="2:13" ht="23.25" customHeight="1" x14ac:dyDescent="0.15">
      <c r="B15" s="1"/>
      <c r="C15" s="2"/>
      <c r="D15" s="2" t="s">
        <v>61</v>
      </c>
      <c r="E15" s="2" t="s">
        <v>62</v>
      </c>
      <c r="F15" s="2" t="s">
        <v>24</v>
      </c>
      <c r="G15" s="1" t="s">
        <v>63</v>
      </c>
      <c r="H15" s="1"/>
      <c r="I15" s="1"/>
      <c r="J15" s="1"/>
      <c r="K15" s="5"/>
      <c r="L15" s="5" t="s">
        <v>53</v>
      </c>
      <c r="M15" s="1"/>
    </row>
    <row r="16" spans="2:13" ht="23.25" customHeight="1" x14ac:dyDescent="0.15">
      <c r="B16" s="1" t="s">
        <v>57</v>
      </c>
      <c r="C16" s="2">
        <v>1095218961</v>
      </c>
      <c r="D16" s="2">
        <f>D5</f>
        <v>1278400000</v>
      </c>
      <c r="E16" s="2">
        <v>1230212291</v>
      </c>
      <c r="F16" s="2">
        <f>D16-E16</f>
        <v>48187709</v>
      </c>
      <c r="G16" s="3">
        <f>F22-F16</f>
        <v>2443132</v>
      </c>
      <c r="H16" s="3"/>
      <c r="I16" s="3"/>
      <c r="J16" s="3"/>
      <c r="K16" s="5"/>
      <c r="L16" s="5" t="s">
        <v>54</v>
      </c>
      <c r="M16" s="1"/>
    </row>
    <row r="17" spans="2:13" ht="23.25" customHeight="1" x14ac:dyDescent="0.15">
      <c r="B17" s="1"/>
      <c r="C17" s="2"/>
      <c r="D17" s="2"/>
      <c r="E17" s="2"/>
      <c r="F17" s="2"/>
      <c r="G17" s="1"/>
      <c r="H17" s="1"/>
      <c r="I17" s="1"/>
      <c r="J17" s="1"/>
      <c r="K17" s="5" t="s">
        <v>55</v>
      </c>
      <c r="L17" s="5" t="s">
        <v>56</v>
      </c>
      <c r="M17" s="1"/>
    </row>
    <row r="18" spans="2:13" ht="23.25" customHeight="1" x14ac:dyDescent="0.15">
      <c r="B18" s="1" t="s">
        <v>64</v>
      </c>
      <c r="C18" s="2"/>
      <c r="D18" s="2">
        <f>37210000</f>
        <v>37210000</v>
      </c>
      <c r="E18" s="2">
        <v>31000000</v>
      </c>
      <c r="F18" s="2">
        <v>3060000</v>
      </c>
      <c r="G18" s="2">
        <v>2150000</v>
      </c>
      <c r="H18" s="2">
        <v>60000000</v>
      </c>
      <c r="I18" s="12">
        <f>SUM(D18:H18)</f>
        <v>133420000</v>
      </c>
      <c r="J18" s="1"/>
      <c r="K18" s="1"/>
      <c r="L18" s="1"/>
      <c r="M18" s="1"/>
    </row>
    <row r="19" spans="2:13" ht="23.25" customHeight="1" x14ac:dyDescent="0.15">
      <c r="B19" s="1"/>
      <c r="C19" s="2"/>
      <c r="D19" s="2"/>
      <c r="E19" s="2"/>
      <c r="F19" s="2"/>
      <c r="G19" s="1"/>
      <c r="H19" s="1"/>
      <c r="I19" s="3"/>
      <c r="J19" s="1"/>
      <c r="K19" s="1"/>
      <c r="L19" s="1"/>
      <c r="M19" s="1"/>
    </row>
    <row r="20" spans="2:13" ht="23.25" customHeight="1" x14ac:dyDescent="0.15">
      <c r="B20" s="1"/>
      <c r="C20" s="2"/>
      <c r="D20" s="2"/>
      <c r="E20" s="2"/>
      <c r="F20" s="2"/>
      <c r="G20" s="1"/>
      <c r="H20" s="1"/>
      <c r="I20" s="3"/>
      <c r="J20" s="1"/>
      <c r="K20" s="1"/>
      <c r="L20" s="1"/>
      <c r="M20" s="1"/>
    </row>
    <row r="21" spans="2:13" ht="23.25" customHeight="1" x14ac:dyDescent="0.15">
      <c r="B21" s="1"/>
      <c r="C21" s="2"/>
      <c r="D21" s="2"/>
      <c r="E21" s="2"/>
      <c r="F21" s="2"/>
      <c r="G21" s="1"/>
      <c r="H21" s="1"/>
      <c r="I21" s="1"/>
      <c r="J21" s="1"/>
      <c r="K21" s="1"/>
      <c r="L21" s="1"/>
      <c r="M21" s="1"/>
    </row>
    <row r="22" spans="2:13" ht="23.25" customHeight="1" x14ac:dyDescent="0.15">
      <c r="B22" s="1"/>
      <c r="C22" s="2"/>
      <c r="D22" s="2"/>
      <c r="E22" s="2"/>
      <c r="F22" s="2">
        <f>SUM(F5:F13)</f>
        <v>50630841</v>
      </c>
      <c r="G22" s="1">
        <f>F22/D5</f>
        <v>3.9604850594493118E-2</v>
      </c>
      <c r="H22" s="1"/>
      <c r="I22" s="1"/>
      <c r="J22" s="1"/>
      <c r="K22" s="1"/>
      <c r="L22" s="1"/>
      <c r="M22" s="1"/>
    </row>
    <row r="23" spans="2:13" ht="23.25" customHeight="1" x14ac:dyDescent="0.15">
      <c r="B23" s="1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</row>
    <row r="24" spans="2:13" ht="23.25" customHeight="1" x14ac:dyDescent="0.15">
      <c r="B24" s="1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</row>
    <row r="25" spans="2:13" ht="23.25" customHeight="1" x14ac:dyDescent="0.15">
      <c r="B25" s="1"/>
      <c r="C25" s="2"/>
      <c r="D25" s="2"/>
      <c r="E25" s="2"/>
      <c r="F25" s="2"/>
      <c r="G25" s="1"/>
      <c r="H25" s="1"/>
      <c r="I25" s="1"/>
      <c r="J25" s="1"/>
      <c r="K25" s="1"/>
      <c r="L25" s="1"/>
      <c r="M25" s="1"/>
    </row>
    <row r="26" spans="2:13" ht="23.25" customHeight="1" x14ac:dyDescent="0.15">
      <c r="B26" s="1"/>
      <c r="C26" s="2"/>
      <c r="D26" s="2"/>
      <c r="E26" s="2"/>
      <c r="F26" s="2"/>
      <c r="G26" s="1"/>
      <c r="H26" s="1"/>
      <c r="I26" s="1"/>
      <c r="J26" s="1"/>
      <c r="K26" s="1"/>
      <c r="L26" s="1"/>
      <c r="M26" s="1"/>
    </row>
    <row r="27" spans="2:13" ht="23.25" customHeight="1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2:13" ht="23.25" customHeight="1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2:13" ht="23.25" customHeight="1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2:13" ht="23.25" customHeight="1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2:13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2:13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2:13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2:13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2:13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2:13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2:13" ht="18" customHeight="1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</sheetData>
  <mergeCells count="1">
    <mergeCell ref="K3:L3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원가계산서</vt:lpstr>
      <vt:lpstr>Sheet1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조상현</cp:lastModifiedBy>
  <cp:lastPrinted>2018-12-20T04:03:50Z</cp:lastPrinted>
  <dcterms:created xsi:type="dcterms:W3CDTF">2008-10-10T07:23:20Z</dcterms:created>
  <dcterms:modified xsi:type="dcterms:W3CDTF">2021-02-08T07:41:43Z</dcterms:modified>
</cp:coreProperties>
</file>